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u0125306\Documents\"/>
    </mc:Choice>
  </mc:AlternateContent>
  <bookViews>
    <workbookView xWindow="0" yWindow="420" windowWidth="19200" windowHeight="1195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27" i="1" s="1"/>
  <c r="B28" i="1" s="1"/>
  <c r="B29" i="1" s="1"/>
  <c r="B30" i="1" s="1"/>
  <c r="B18" i="1"/>
  <c r="C26" i="1" l="1"/>
  <c r="D26" i="1"/>
  <c r="B17" i="1"/>
  <c r="E26" i="1" l="1"/>
  <c r="F26" i="1" s="1"/>
  <c r="B19" i="1"/>
  <c r="C27" i="1" l="1"/>
  <c r="D27" i="1"/>
  <c r="C28" i="1" l="1"/>
  <c r="E27" i="1"/>
  <c r="F27" i="1" s="1"/>
  <c r="D28" i="1"/>
  <c r="C29" i="1" l="1"/>
  <c r="E28" i="1"/>
  <c r="F28" i="1" s="1"/>
  <c r="D29" i="1"/>
  <c r="C30" i="1" l="1"/>
  <c r="E29" i="1"/>
  <c r="F29" i="1" s="1"/>
  <c r="D30" i="1"/>
  <c r="D31" i="1" s="1"/>
  <c r="E30" i="1" l="1"/>
  <c r="C31" i="1"/>
  <c r="B31" i="1"/>
  <c r="B33" i="1"/>
  <c r="B34" i="1" s="1"/>
  <c r="F30" i="1" l="1"/>
  <c r="F31" i="1" s="1"/>
  <c r="B35" i="1" s="1"/>
  <c r="B36" i="1" s="1"/>
  <c r="B13" i="1" s="1"/>
  <c r="E31" i="1"/>
  <c r="B37" i="1" l="1"/>
</calcChain>
</file>

<file path=xl/sharedStrings.xml><?xml version="1.0" encoding="utf-8"?>
<sst xmlns="http://schemas.openxmlformats.org/spreadsheetml/2006/main" count="44" uniqueCount="37">
  <si>
    <t>EBITDA</t>
  </si>
  <si>
    <t>Interest</t>
  </si>
  <si>
    <t>Capex</t>
  </si>
  <si>
    <t>Pre-tax</t>
  </si>
  <si>
    <t>After tax</t>
  </si>
  <si>
    <t>How low can private equity returns go?</t>
  </si>
  <si>
    <t>Background calculations</t>
  </si>
  <si>
    <t xml:space="preserve">Multiple of original investment </t>
  </si>
  <si>
    <t>Purchase price - multiple of EBITDA</t>
  </si>
  <si>
    <t>Exit price - multiple of EBITDA</t>
  </si>
  <si>
    <t>Debt taken on - multiple of EBITDA</t>
  </si>
  <si>
    <t>EBITDA growth per year</t>
  </si>
  <si>
    <t>Headline numbers - inputs in blue</t>
  </si>
  <si>
    <t>mln</t>
  </si>
  <si>
    <t>Interest rate</t>
  </si>
  <si>
    <t>EBITDA at acquisition</t>
  </si>
  <si>
    <t>Enterprise value at acquisition</t>
  </si>
  <si>
    <t>Debt amount at acquisition</t>
  </si>
  <si>
    <t>Equity amount at acquisition</t>
  </si>
  <si>
    <t>Year 0</t>
  </si>
  <si>
    <t>Year 1</t>
  </si>
  <si>
    <t>Year 2</t>
  </si>
  <si>
    <t>Year 3</t>
  </si>
  <si>
    <t>Year 4</t>
  </si>
  <si>
    <t>Year 5</t>
  </si>
  <si>
    <t>Total</t>
  </si>
  <si>
    <t>Capex/depn as share of EBITDA</t>
  </si>
  <si>
    <t>Tax rate</t>
  </si>
  <si>
    <t>Cash flows to equity (mln)</t>
  </si>
  <si>
    <t>EBITDA at exit</t>
  </si>
  <si>
    <t>Enterprise value at exit</t>
  </si>
  <si>
    <t>Det amount at exit</t>
  </si>
  <si>
    <t>Equity amount at exit</t>
  </si>
  <si>
    <t>Five-year annualized rate of return</t>
  </si>
  <si>
    <t>Buyout shops target a 15 pct return, but 5 pct could be the new normal</t>
  </si>
  <si>
    <t>© 2018 Thomson Reuters</t>
  </si>
  <si>
    <t>Dec. 17,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</si>
</sst>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8"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1"/>
      <color theme="4"/>
      <name val="Calibri"/>
      <family val="2"/>
      <scheme val="minor"/>
    </font>
    <font>
      <b/>
      <sz val="11"/>
      <name val="Calibri"/>
      <family val="2"/>
      <scheme val="minor"/>
    </font>
    <font>
      <sz val="11"/>
      <name val="Calibri"/>
      <family val="2"/>
      <scheme val="minor"/>
    </font>
    <font>
      <b/>
      <u/>
      <sz val="11"/>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5" fillId="0" borderId="0" xfId="0" applyFont="1" applyFill="1" applyBorder="1"/>
    <xf numFmtId="0" fontId="2" fillId="0" borderId="0" xfId="0" applyFont="1" applyFill="1" applyBorder="1"/>
    <xf numFmtId="0" fontId="0" fillId="0" borderId="0" xfId="0" applyFill="1" applyBorder="1"/>
    <xf numFmtId="0" fontId="0" fillId="0" borderId="0" xfId="0" applyFont="1" applyFill="1" applyBorder="1"/>
    <xf numFmtId="0" fontId="3" fillId="0" borderId="0" xfId="0" applyFont="1" applyFill="1" applyBorder="1"/>
    <xf numFmtId="9" fontId="4" fillId="0" borderId="0" xfId="0" applyNumberFormat="1" applyFont="1" applyFill="1" applyBorder="1"/>
    <xf numFmtId="9" fontId="0" fillId="0" borderId="0" xfId="0" applyNumberFormat="1" applyFill="1" applyBorder="1"/>
    <xf numFmtId="9" fontId="0" fillId="0" borderId="0" xfId="1" applyFont="1" applyFill="1" applyBorder="1"/>
    <xf numFmtId="164" fontId="0" fillId="0" borderId="0" xfId="0" applyNumberFormat="1" applyFill="1" applyBorder="1"/>
    <xf numFmtId="0" fontId="0" fillId="0" borderId="1" xfId="0" applyFill="1" applyBorder="1"/>
    <xf numFmtId="164" fontId="6" fillId="0" borderId="0" xfId="0" applyNumberFormat="1" applyFont="1" applyFill="1" applyBorder="1"/>
    <xf numFmtId="165" fontId="6" fillId="0" borderId="0" xfId="0" applyNumberFormat="1" applyFont="1" applyFill="1" applyBorder="1"/>
    <xf numFmtId="165" fontId="7" fillId="0" borderId="0" xfId="0" applyNumberFormat="1" applyFont="1" applyFill="1" applyBorder="1"/>
    <xf numFmtId="168" fontId="0" fillId="0" borderId="0" xfId="0" applyNumberFormat="1" applyFill="1" applyBorder="1"/>
    <xf numFmtId="168" fontId="6" fillId="0" borderId="0" xfId="0" applyNumberFormat="1" applyFont="1" applyFill="1" applyBorder="1"/>
    <xf numFmtId="168" fontId="8" fillId="0" borderId="0" xfId="0" applyNumberFormat="1" applyFont="1" applyFill="1" applyBorder="1"/>
    <xf numFmtId="9" fontId="6" fillId="0" borderId="0" xfId="0" applyNumberFormat="1" applyFont="1" applyFill="1" applyBorder="1"/>
    <xf numFmtId="0" fontId="9" fillId="0" borderId="0" xfId="0" applyFont="1" applyFill="1" applyBorder="1"/>
    <xf numFmtId="0" fontId="3" fillId="2" borderId="0" xfId="0" applyFont="1" applyFill="1" applyBorder="1"/>
    <xf numFmtId="0" fontId="3" fillId="2" borderId="0" xfId="0" applyFont="1" applyFill="1" applyBorder="1" applyAlignment="1">
      <alignment horizontal="right"/>
    </xf>
    <xf numFmtId="168" fontId="2" fillId="0" borderId="0" xfId="0" applyNumberFormat="1" applyFont="1" applyFill="1" applyBorder="1"/>
    <xf numFmtId="168" fontId="0" fillId="0" borderId="1" xfId="0" applyNumberFormat="1" applyFill="1" applyBorder="1"/>
    <xf numFmtId="168" fontId="0" fillId="0" borderId="0" xfId="0" applyNumberFormat="1" applyFont="1" applyFill="1" applyBorder="1"/>
    <xf numFmtId="0" fontId="10" fillId="0" borderId="0" xfId="0" applyFont="1" applyAlignment="1">
      <alignment horizontal="right"/>
    </xf>
    <xf numFmtId="15" fontId="11" fillId="0" borderId="0" xfId="0" quotePrefix="1" applyNumberFormat="1" applyFont="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breakingviews.com"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53487</xdr:colOff>
      <xdr:row>4</xdr:row>
      <xdr:rowOff>137745</xdr:rowOff>
    </xdr:from>
    <xdr:ext cx="3127863" cy="2586405"/>
    <xdr:sp macro="" textlink="">
      <xdr:nvSpPr>
        <xdr:cNvPr id="2" name="TextBox 1">
          <a:extLst>
            <a:ext uri="{FF2B5EF4-FFF2-40B4-BE49-F238E27FC236}">
              <a16:creationId xmlns:a16="http://schemas.microsoft.com/office/drawing/2014/main" id="{6A6CE5F8-CA30-4882-BF59-F239A868FD46}"/>
            </a:ext>
          </a:extLst>
        </xdr:cNvPr>
        <xdr:cNvSpPr txBox="1"/>
      </xdr:nvSpPr>
      <xdr:spPr>
        <a:xfrm>
          <a:off x="4396887" y="985470"/>
          <a:ext cx="3127863" cy="25864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How it </a:t>
          </a:r>
          <a:r>
            <a:rPr lang="en-GB" sz="1100" b="1">
              <a:latin typeface="Calibri" panose="020F0502020204030204" pitchFamily="34" charset="0"/>
            </a:rPr>
            <a:t>works</a:t>
          </a:r>
        </a:p>
        <a:p>
          <a:r>
            <a:rPr lang="en-GB" sz="1100" b="1"/>
            <a:t>By John Foley</a:t>
          </a:r>
        </a:p>
        <a:p>
          <a:endParaRPr lang="en-GB" sz="1100"/>
        </a:p>
        <a:p>
          <a:r>
            <a:rPr lang="en-GB" sz="1100"/>
            <a:t>See</a:t>
          </a:r>
          <a:r>
            <a:rPr lang="en-GB" sz="1100" baseline="0"/>
            <a:t> what returns a private equity investor could get from buying a company, holding it for five years and selling it under different conditions.</a:t>
          </a:r>
        </a:p>
        <a:p>
          <a:endParaRPr lang="en-GB" sz="1100" baseline="0"/>
        </a:p>
        <a:p>
          <a:r>
            <a:rPr lang="en-GB" sz="1100" baseline="0"/>
            <a:t>The main inputs are what multiple of EBITDA the buyout shop pays for its acquisition, what multiple it gets when it sells, how much debt is used to fund the purchase, and how fast profit can grow.</a:t>
          </a:r>
        </a:p>
        <a:p>
          <a:endParaRPr lang="en-GB" sz="1100" baseline="0"/>
        </a:p>
        <a:p>
          <a:r>
            <a:rPr lang="en-GB" sz="1100" baseline="0"/>
            <a:t>The calculator assumes that whatever profit isn't eaten up in interest, capital expenditure and tax is used to pay down debt.</a:t>
          </a:r>
        </a:p>
      </xdr:txBody>
    </xdr:sp>
    <xdr:clientData/>
  </xdr:oneCellAnchor>
  <xdr:twoCellAnchor editAs="oneCell">
    <xdr:from>
      <xdr:col>0</xdr:col>
      <xdr:colOff>0</xdr:colOff>
      <xdr:row>0</xdr:row>
      <xdr:rowOff>0</xdr:rowOff>
    </xdr:from>
    <xdr:to>
      <xdr:col>1</xdr:col>
      <xdr:colOff>526806</xdr:colOff>
      <xdr:row>2</xdr:row>
      <xdr:rowOff>87923</xdr:rowOff>
    </xdr:to>
    <xdr:pic>
      <xdr:nvPicPr>
        <xdr:cNvPr id="3" name="Picture 7" descr="Reuters breakingviews logo">
          <a:extLst>
            <a:ext uri="{FF2B5EF4-FFF2-40B4-BE49-F238E27FC236}">
              <a16:creationId xmlns:a16="http://schemas.microsoft.com/office/drawing/2014/main" id="{BA668A58-6F33-4E7F-99A9-06DE29F329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981325" cy="476250"/>
        </a:xfrm>
        <a:prstGeom prst="rect">
          <a:avLst/>
        </a:prstGeom>
        <a:noFill/>
        <a:ln w="9525">
          <a:noFill/>
          <a:miter lim="800000"/>
          <a:headEnd/>
          <a:tailEnd/>
        </a:ln>
      </xdr:spPr>
    </xdr:pic>
    <xdr:clientData/>
  </xdr:twoCellAnchor>
  <xdr:oneCellAnchor>
    <xdr:from>
      <xdr:col>3</xdr:col>
      <xdr:colOff>57150</xdr:colOff>
      <xdr:row>18</xdr:row>
      <xdr:rowOff>65941</xdr:rowOff>
    </xdr:from>
    <xdr:ext cx="3095625" cy="572234"/>
    <xdr:sp macro="" textlink="">
      <xdr:nvSpPr>
        <xdr:cNvPr id="4" name="TextBox 3">
          <a:hlinkClick xmlns:r="http://schemas.openxmlformats.org/officeDocument/2006/relationships" r:id="rId2"/>
          <a:extLst>
            <a:ext uri="{FF2B5EF4-FFF2-40B4-BE49-F238E27FC236}">
              <a16:creationId xmlns:a16="http://schemas.microsoft.com/office/drawing/2014/main" id="{3A231C91-A5AE-4412-8724-2B052D8C32E1}"/>
            </a:ext>
          </a:extLst>
        </xdr:cNvPr>
        <xdr:cNvSpPr txBox="1"/>
      </xdr:nvSpPr>
      <xdr:spPr>
        <a:xfrm>
          <a:off x="4400550" y="3580666"/>
          <a:ext cx="3095625" cy="5722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aseline="0"/>
            <a:t>Find more calculators and agenda-setting insight at www.breakingviews.com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tabSelected="1" zoomScaleNormal="100" workbookViewId="0">
      <selection activeCell="A4" sqref="A4"/>
    </sheetView>
  </sheetViews>
  <sheetFormatPr defaultRowHeight="15" x14ac:dyDescent="0.25"/>
  <cols>
    <col min="1" max="1" width="36.85546875" style="3" customWidth="1"/>
    <col min="2" max="2" width="19.140625" style="3" bestFit="1" customWidth="1"/>
    <col min="3" max="6" width="9.140625" style="3"/>
    <col min="7" max="7" width="11.42578125" style="3" customWidth="1"/>
    <col min="8" max="16384" width="9.140625" style="3"/>
  </cols>
  <sheetData>
    <row r="2" spans="1:8" ht="15.75" x14ac:dyDescent="0.25">
      <c r="H2" s="24" t="s">
        <v>35</v>
      </c>
    </row>
    <row r="4" spans="1:8" ht="21" customHeight="1" x14ac:dyDescent="0.35">
      <c r="A4" s="1" t="s">
        <v>5</v>
      </c>
      <c r="B4" s="2"/>
      <c r="H4" s="25" t="s">
        <v>36</v>
      </c>
    </row>
    <row r="5" spans="1:8" x14ac:dyDescent="0.25">
      <c r="A5" s="2" t="s">
        <v>34</v>
      </c>
      <c r="B5" s="2"/>
    </row>
    <row r="6" spans="1:8" x14ac:dyDescent="0.25">
      <c r="A6" s="4"/>
    </row>
    <row r="7" spans="1:8" x14ac:dyDescent="0.25">
      <c r="A7" s="18" t="s">
        <v>12</v>
      </c>
    </row>
    <row r="8" spans="1:8" x14ac:dyDescent="0.25">
      <c r="A8" s="3" t="s">
        <v>8</v>
      </c>
      <c r="B8" s="11">
        <v>13</v>
      </c>
    </row>
    <row r="9" spans="1:8" x14ac:dyDescent="0.25">
      <c r="A9" s="3" t="s">
        <v>9</v>
      </c>
      <c r="B9" s="11">
        <v>10</v>
      </c>
    </row>
    <row r="10" spans="1:8" x14ac:dyDescent="0.25">
      <c r="A10" s="3" t="s">
        <v>10</v>
      </c>
      <c r="B10" s="11">
        <v>6.5</v>
      </c>
      <c r="C10" s="5"/>
    </row>
    <row r="11" spans="1:8" x14ac:dyDescent="0.25">
      <c r="A11" s="3" t="s">
        <v>11</v>
      </c>
      <c r="B11" s="12">
        <v>0.05</v>
      </c>
      <c r="C11" s="5"/>
    </row>
    <row r="12" spans="1:8" x14ac:dyDescent="0.25">
      <c r="B12" s="6"/>
      <c r="C12" s="5"/>
    </row>
    <row r="13" spans="1:8" x14ac:dyDescent="0.25">
      <c r="A13" s="2" t="s">
        <v>33</v>
      </c>
      <c r="B13" s="13">
        <f>(B36/B19)^(1/5)-1</f>
        <v>4.911046565575794E-2</v>
      </c>
      <c r="C13" s="5"/>
    </row>
    <row r="14" spans="1:8" x14ac:dyDescent="0.25">
      <c r="B14" s="7"/>
      <c r="C14" s="5"/>
    </row>
    <row r="15" spans="1:8" x14ac:dyDescent="0.25">
      <c r="A15" s="18" t="s">
        <v>6</v>
      </c>
    </row>
    <row r="16" spans="1:8" x14ac:dyDescent="0.25">
      <c r="A16" s="3" t="s">
        <v>15</v>
      </c>
      <c r="B16" s="15">
        <v>1000</v>
      </c>
      <c r="C16" s="3" t="s">
        <v>13</v>
      </c>
    </row>
    <row r="17" spans="1:6" x14ac:dyDescent="0.25">
      <c r="A17" s="3" t="s">
        <v>16</v>
      </c>
      <c r="B17" s="16">
        <f>B16*B8</f>
        <v>13000</v>
      </c>
      <c r="C17" s="3" t="s">
        <v>13</v>
      </c>
    </row>
    <row r="18" spans="1:6" x14ac:dyDescent="0.25">
      <c r="A18" s="3" t="s">
        <v>17</v>
      </c>
      <c r="B18" s="16">
        <f>B10*B16</f>
        <v>6500</v>
      </c>
      <c r="C18" s="3" t="s">
        <v>13</v>
      </c>
    </row>
    <row r="19" spans="1:6" x14ac:dyDescent="0.25">
      <c r="A19" s="3" t="s">
        <v>18</v>
      </c>
      <c r="B19" s="16">
        <f>B17-B18</f>
        <v>6500</v>
      </c>
      <c r="C19" s="3" t="s">
        <v>13</v>
      </c>
    </row>
    <row r="20" spans="1:6" x14ac:dyDescent="0.25">
      <c r="A20" s="3" t="s">
        <v>14</v>
      </c>
      <c r="B20" s="12">
        <v>6.5000000000000002E-2</v>
      </c>
      <c r="C20" s="5"/>
    </row>
    <row r="21" spans="1:6" x14ac:dyDescent="0.25">
      <c r="A21" s="3" t="s">
        <v>26</v>
      </c>
      <c r="B21" s="17">
        <v>0.2</v>
      </c>
      <c r="C21" s="5"/>
    </row>
    <row r="22" spans="1:6" x14ac:dyDescent="0.25">
      <c r="A22" s="3" t="s">
        <v>27</v>
      </c>
      <c r="B22" s="17">
        <v>0.21</v>
      </c>
      <c r="C22" s="5"/>
    </row>
    <row r="23" spans="1:6" x14ac:dyDescent="0.25">
      <c r="C23" s="5"/>
    </row>
    <row r="24" spans="1:6" x14ac:dyDescent="0.25">
      <c r="A24" s="19" t="s">
        <v>28</v>
      </c>
      <c r="B24" s="20" t="s">
        <v>0</v>
      </c>
      <c r="C24" s="20" t="s">
        <v>1</v>
      </c>
      <c r="D24" s="20" t="s">
        <v>2</v>
      </c>
      <c r="E24" s="20" t="s">
        <v>3</v>
      </c>
      <c r="F24" s="20" t="s">
        <v>4</v>
      </c>
    </row>
    <row r="25" spans="1:6" x14ac:dyDescent="0.25">
      <c r="A25" s="4" t="s">
        <v>19</v>
      </c>
      <c r="B25" s="23"/>
      <c r="C25" s="21"/>
      <c r="D25" s="21"/>
      <c r="E25" s="21"/>
      <c r="F25" s="21"/>
    </row>
    <row r="26" spans="1:6" x14ac:dyDescent="0.25">
      <c r="A26" s="3" t="s">
        <v>20</v>
      </c>
      <c r="B26" s="14">
        <f>B16*(1+$B$11)</f>
        <v>1050</v>
      </c>
      <c r="C26" s="14">
        <f>$B$20*$B$18</f>
        <v>422.5</v>
      </c>
      <c r="D26" s="14">
        <f>B26*$B$21</f>
        <v>210</v>
      </c>
      <c r="E26" s="14">
        <f>B26-C26-D26</f>
        <v>417.5</v>
      </c>
      <c r="F26" s="14">
        <f>E26*(1-$B$22)</f>
        <v>329.82499999999999</v>
      </c>
    </row>
    <row r="27" spans="1:6" x14ac:dyDescent="0.25">
      <c r="A27" s="3" t="s">
        <v>21</v>
      </c>
      <c r="B27" s="14">
        <f>B26*(1+$B$11)</f>
        <v>1102.5</v>
      </c>
      <c r="C27" s="14">
        <f>C26</f>
        <v>422.5</v>
      </c>
      <c r="D27" s="14">
        <f>B27*$B$21</f>
        <v>220.5</v>
      </c>
      <c r="E27" s="14">
        <f>B27-C27-D27</f>
        <v>459.5</v>
      </c>
      <c r="F27" s="14">
        <f>E27*(1-$B$22)</f>
        <v>363.005</v>
      </c>
    </row>
    <row r="28" spans="1:6" x14ac:dyDescent="0.25">
      <c r="A28" s="3" t="s">
        <v>22</v>
      </c>
      <c r="B28" s="14">
        <f>B27*(1+$B$11)</f>
        <v>1157.625</v>
      </c>
      <c r="C28" s="14">
        <f>C27</f>
        <v>422.5</v>
      </c>
      <c r="D28" s="14">
        <f>B28*$B$21</f>
        <v>231.52500000000001</v>
      </c>
      <c r="E28" s="14">
        <f>B28-C28-D28</f>
        <v>503.6</v>
      </c>
      <c r="F28" s="14">
        <f>E28*(1-$B$22)</f>
        <v>397.84400000000005</v>
      </c>
    </row>
    <row r="29" spans="1:6" x14ac:dyDescent="0.25">
      <c r="A29" s="3" t="s">
        <v>23</v>
      </c>
      <c r="B29" s="14">
        <f>B28*(1+$B$11)</f>
        <v>1215.5062500000001</v>
      </c>
      <c r="C29" s="14">
        <f>C28</f>
        <v>422.5</v>
      </c>
      <c r="D29" s="14">
        <f>B29*$B$21</f>
        <v>243.10125000000005</v>
      </c>
      <c r="E29" s="14">
        <f>B29-C29-D29</f>
        <v>549.90500000000009</v>
      </c>
      <c r="F29" s="14">
        <f>E29*(1-$B$22)</f>
        <v>434.42495000000008</v>
      </c>
    </row>
    <row r="30" spans="1:6" x14ac:dyDescent="0.25">
      <c r="A30" s="3" t="s">
        <v>24</v>
      </c>
      <c r="B30" s="14">
        <f>B29*(1+$B$11)</f>
        <v>1276.2815625000003</v>
      </c>
      <c r="C30" s="14">
        <f>C29</f>
        <v>422.5</v>
      </c>
      <c r="D30" s="14">
        <f>B30*$B$21</f>
        <v>255.25631250000006</v>
      </c>
      <c r="E30" s="14">
        <f>B30-C30-D30</f>
        <v>598.52525000000026</v>
      </c>
      <c r="F30" s="14">
        <f>E30*(1-$B$22)</f>
        <v>472.83494750000023</v>
      </c>
    </row>
    <row r="31" spans="1:6" ht="15.75" thickBot="1" x14ac:dyDescent="0.3">
      <c r="A31" s="10" t="s">
        <v>25</v>
      </c>
      <c r="B31" s="22">
        <f t="shared" ref="B31:F31" si="0">SUM(B26:B30)</f>
        <v>5801.9128125000007</v>
      </c>
      <c r="C31" s="22">
        <f t="shared" si="0"/>
        <v>2112.5</v>
      </c>
      <c r="D31" s="22">
        <f t="shared" si="0"/>
        <v>1160.3825625000002</v>
      </c>
      <c r="E31" s="22">
        <f t="shared" si="0"/>
        <v>2529.0302500000003</v>
      </c>
      <c r="F31" s="22">
        <f t="shared" si="0"/>
        <v>1997.9338975000003</v>
      </c>
    </row>
    <row r="32" spans="1:6" ht="15.75" thickTop="1" x14ac:dyDescent="0.25">
      <c r="C32" s="8"/>
      <c r="D32" s="8"/>
    </row>
    <row r="33" spans="1:3" x14ac:dyDescent="0.25">
      <c r="A33" s="3" t="s">
        <v>29</v>
      </c>
      <c r="B33" s="14">
        <f>B30</f>
        <v>1276.2815625000003</v>
      </c>
      <c r="C33" s="3" t="s">
        <v>13</v>
      </c>
    </row>
    <row r="34" spans="1:3" x14ac:dyDescent="0.25">
      <c r="A34" s="3" t="s">
        <v>30</v>
      </c>
      <c r="B34" s="14">
        <f>B33*B9</f>
        <v>12762.815625000003</v>
      </c>
      <c r="C34" s="3" t="s">
        <v>13</v>
      </c>
    </row>
    <row r="35" spans="1:3" x14ac:dyDescent="0.25">
      <c r="A35" s="3" t="s">
        <v>31</v>
      </c>
      <c r="B35" s="14">
        <f>B18-F31</f>
        <v>4502.0661024999999</v>
      </c>
      <c r="C35" s="3" t="s">
        <v>13</v>
      </c>
    </row>
    <row r="36" spans="1:3" x14ac:dyDescent="0.25">
      <c r="A36" s="3" t="s">
        <v>32</v>
      </c>
      <c r="B36" s="14">
        <f>B34-B35</f>
        <v>8260.7495225000021</v>
      </c>
      <c r="C36" s="3" t="s">
        <v>13</v>
      </c>
    </row>
    <row r="37" spans="1:3" x14ac:dyDescent="0.25">
      <c r="A37" s="3" t="s">
        <v>7</v>
      </c>
      <c r="B37" s="9">
        <f>B36/B19</f>
        <v>1.2708845419230772</v>
      </c>
    </row>
  </sheetData>
  <sheetProtection algorithmName="SHA-512" hashValue="3tVh5ZvQQ7oK2ehtBN3HlWJhWqGbkSuCvqgjR3Dr9nf8DlK2tmw3Qi/ApX4aQJ2n7OAiPdzjAsYc3uVvORmXlQ==" saltValue="rrUNAcRQGWBjLpnyQZLxIg==" spinCount="100000" sheet="1" objects="1" scenarios="1"/>
  <protectedRanges>
    <protectedRange sqref="B8:B11 B16 B20:B22" name="Range1"/>
  </protectedRange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u0124801</dc:creator>
  <cp:lastModifiedBy>u0125306</cp:lastModifiedBy>
  <dcterms:created xsi:type="dcterms:W3CDTF">2018-06-11T12:55:18Z</dcterms:created>
  <dcterms:modified xsi:type="dcterms:W3CDTF">2018-12-14T15:48:56Z</dcterms:modified>
</cp:coreProperties>
</file>